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24" windowWidth="13332" windowHeight="10032" tabRatio="543"/>
  </bookViews>
  <sheets>
    <sheet name="Estivo" sheetId="1" r:id="rId1"/>
    <sheet name="Inverno" sheetId="3" r:id="rId2"/>
    <sheet name="Foglio2" sheetId="2" r:id="rId3"/>
  </sheets>
  <calcPr calcId="125725"/>
</workbook>
</file>

<file path=xl/calcChain.xml><?xml version="1.0" encoding="utf-8"?>
<calcChain xmlns="http://schemas.openxmlformats.org/spreadsheetml/2006/main">
  <c r="B45" i="3"/>
  <c r="B66"/>
  <c r="B31"/>
  <c r="B39" s="1"/>
  <c r="B13"/>
  <c r="B26" s="1"/>
  <c r="B28" s="1"/>
  <c r="D44"/>
  <c r="F44" s="1"/>
  <c r="H44" s="1"/>
  <c r="B25"/>
  <c r="B20"/>
  <c r="B21" s="1"/>
  <c r="E8"/>
  <c r="G8" s="1"/>
  <c r="B7"/>
  <c r="B8" s="1"/>
  <c r="B63" s="1"/>
  <c r="G5"/>
  <c r="B30" i="1"/>
  <c r="B7"/>
  <c r="B12"/>
  <c r="B46" i="3" l="1"/>
  <c r="B34"/>
  <c r="B35" s="1"/>
  <c r="B27"/>
  <c r="B22"/>
  <c r="B9"/>
  <c r="E9"/>
  <c r="B24" i="1"/>
  <c r="B33" s="1"/>
  <c r="B48" s="1"/>
  <c r="E8"/>
  <c r="G8" s="1"/>
  <c r="G5"/>
  <c r="B63"/>
  <c r="B64" s="1"/>
  <c r="B65" s="1"/>
  <c r="B8"/>
  <c r="B9" s="1"/>
  <c r="D43"/>
  <c r="F43" s="1"/>
  <c r="H43" s="1"/>
  <c r="B45" s="1"/>
  <c r="B38"/>
  <c r="B19"/>
  <c r="B20" s="1"/>
  <c r="B49" i="3" l="1"/>
  <c r="B36"/>
  <c r="E10"/>
  <c r="E11" s="1"/>
  <c r="B21" i="1"/>
  <c r="B49"/>
  <c r="B50"/>
  <c r="B26"/>
  <c r="B34" s="1"/>
  <c r="E9"/>
  <c r="E10" s="1"/>
  <c r="E11" s="1"/>
  <c r="B27"/>
  <c r="B71" i="3" l="1"/>
  <c r="B74"/>
  <c r="B37"/>
  <c r="B62"/>
  <c r="B64" s="1"/>
  <c r="B65" s="1"/>
  <c r="B67" s="1"/>
  <c r="B51"/>
  <c r="B56" s="1"/>
  <c r="B58" s="1"/>
  <c r="B50"/>
  <c r="B35" i="1"/>
  <c r="B36" s="1"/>
  <c r="B70" s="1"/>
  <c r="B72" s="1"/>
  <c r="B53"/>
  <c r="B56" s="1"/>
  <c r="B55"/>
  <c r="B54"/>
  <c r="B38" i="3" l="1"/>
  <c r="B40"/>
  <c r="B41" s="1"/>
  <c r="B55"/>
  <c r="D74"/>
  <c r="B54"/>
  <c r="B57" s="1"/>
  <c r="B59" s="1"/>
  <c r="B37" i="1"/>
  <c r="B68"/>
  <c r="B74" s="1"/>
  <c r="B57"/>
  <c r="B58" s="1"/>
  <c r="B80"/>
  <c r="D80" s="1"/>
  <c r="B39"/>
  <c r="B40" s="1"/>
  <c r="B71" l="1"/>
  <c r="B69"/>
  <c r="B83"/>
  <c r="B77" l="1"/>
  <c r="B73"/>
</calcChain>
</file>

<file path=xl/sharedStrings.xml><?xml version="1.0" encoding="utf-8"?>
<sst xmlns="http://schemas.openxmlformats.org/spreadsheetml/2006/main" count="295" uniqueCount="133">
  <si>
    <t>Roma</t>
  </si>
  <si>
    <t>TE</t>
  </si>
  <si>
    <t>%</t>
  </si>
  <si>
    <t>w</t>
  </si>
  <si>
    <t>Qp lat</t>
  </si>
  <si>
    <t>TA</t>
  </si>
  <si>
    <t>°C</t>
  </si>
  <si>
    <t>Num. Persone</t>
  </si>
  <si>
    <t>Kg vap/s</t>
  </si>
  <si>
    <t>g / h</t>
  </si>
  <si>
    <t>Kg/s</t>
  </si>
  <si>
    <t>psat A</t>
  </si>
  <si>
    <t>Kg vap/Kg as</t>
  </si>
  <si>
    <t>hA</t>
  </si>
  <si>
    <t>Qtotale</t>
  </si>
  <si>
    <t>F. carico</t>
  </si>
  <si>
    <t>Kg/Kg as</t>
  </si>
  <si>
    <t>KJ/kg</t>
  </si>
  <si>
    <t>wA</t>
  </si>
  <si>
    <t>Pa</t>
  </si>
  <si>
    <t>Fisso dati ambiente da climatizzare</t>
  </si>
  <si>
    <t>SOLUZIONE ANALITICA</t>
  </si>
  <si>
    <t>IMPIANTO DI CLIMATIZZAZIONE ESTIVO UFFICI</t>
  </si>
  <si>
    <t>m vap.</t>
  </si>
  <si>
    <t>m vap. tot.</t>
  </si>
  <si>
    <t xml:space="preserve"> attività moderata da seduti uffici</t>
  </si>
  <si>
    <t>UR = pv / psat *100</t>
  </si>
  <si>
    <t>Δw = m vap. / m as</t>
  </si>
  <si>
    <t>Ricambio minimo aria</t>
  </si>
  <si>
    <t>A persona</t>
  </si>
  <si>
    <t>l/s</t>
  </si>
  <si>
    <t>m3/h</t>
  </si>
  <si>
    <t>Kg/h</t>
  </si>
  <si>
    <t>N. persone</t>
  </si>
  <si>
    <t>Kg v / Kg as</t>
  </si>
  <si>
    <t>m tot</t>
  </si>
  <si>
    <t>TF</t>
  </si>
  <si>
    <t>p sat = 0,0496965*T^3+0,979515*T^2+46,9035*T+609,484</t>
  </si>
  <si>
    <t>TB</t>
  </si>
  <si>
    <t>hB</t>
  </si>
  <si>
    <t>UR B</t>
  </si>
  <si>
    <t>Fattore BF</t>
  </si>
  <si>
    <t>Potenza raffreddamento</t>
  </si>
  <si>
    <t>P f = m * (hM - hB) =</t>
  </si>
  <si>
    <t>Potenza post riscaldamento</t>
  </si>
  <si>
    <t>P r = m * (hI - hB)=</t>
  </si>
  <si>
    <t>Kw</t>
  </si>
  <si>
    <t>m H2O =</t>
  </si>
  <si>
    <t>TM misc</t>
  </si>
  <si>
    <t>hM misc</t>
  </si>
  <si>
    <t>wM misc</t>
  </si>
  <si>
    <t>UR F</t>
  </si>
  <si>
    <t>wF</t>
  </si>
  <si>
    <t>hF</t>
  </si>
  <si>
    <t>wE</t>
  </si>
  <si>
    <t>hE</t>
  </si>
  <si>
    <t>pv B</t>
  </si>
  <si>
    <t>UR I = pv / psat *100</t>
  </si>
  <si>
    <t>Port. Rinnovo</t>
  </si>
  <si>
    <t>Portata acqua condensata fra M--&gt;B</t>
  </si>
  <si>
    <t>Punto di miscelazione fra aria rinnovo E e aria ricircolo A</t>
  </si>
  <si>
    <t>T uscita dalla batteria fredda (dal diagramma)</t>
  </si>
  <si>
    <t>(wB-wF)/(TB-TF)=(wM-wF)/(TM-TF)</t>
  </si>
  <si>
    <t>TB= TF+(wB-wF)/((wM-wF)/(TM-TF))</t>
  </si>
  <si>
    <t>Calore sensibile</t>
  </si>
  <si>
    <t>Calore latente</t>
  </si>
  <si>
    <t>hI</t>
  </si>
  <si>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  <r>
      <rPr>
        <sz val="9"/>
        <color theme="1"/>
        <rFont val="Calibri"/>
        <family val="2"/>
        <scheme val="minor"/>
      </rPr>
      <t>AI</t>
    </r>
    <r>
      <rPr>
        <sz val="11"/>
        <color theme="1"/>
        <rFont val="Calibri"/>
        <family val="2"/>
        <scheme val="minor"/>
      </rPr>
      <t>= Qtot / ma</t>
    </r>
  </si>
  <si>
    <r>
      <t xml:space="preserve">Q= m </t>
    </r>
    <r>
      <rPr>
        <i/>
        <sz val="11"/>
        <color rgb="FFFF0000"/>
        <rFont val="Symbol"/>
        <family val="1"/>
        <charset val="2"/>
      </rPr>
      <t>D</t>
    </r>
    <r>
      <rPr>
        <i/>
        <sz val="11"/>
        <color rgb="FFFF0000"/>
        <rFont val="Calibri"/>
        <family val="2"/>
        <scheme val="minor"/>
      </rPr>
      <t>h</t>
    </r>
    <r>
      <rPr>
        <i/>
        <sz val="8"/>
        <color rgb="FFFF0000"/>
        <rFont val="Calibri"/>
        <family val="2"/>
        <scheme val="minor"/>
      </rPr>
      <t>AI</t>
    </r>
  </si>
  <si>
    <r>
      <t>T</t>
    </r>
    <r>
      <rPr>
        <sz val="8"/>
        <color theme="1"/>
        <rFont val="Calibri"/>
        <family val="2"/>
        <scheme val="minor"/>
      </rPr>
      <t>I</t>
    </r>
  </si>
  <si>
    <t>h = (1,006+1,9*w) *T + 2501*w    [kJ/kg]</t>
  </si>
  <si>
    <t>m rinn. MINIMA</t>
  </si>
  <si>
    <t>kg/s</t>
  </si>
  <si>
    <t>Temperatura Batteria fredda</t>
  </si>
  <si>
    <t>pv sat B</t>
  </si>
  <si>
    <t xml:space="preserve">Pa    </t>
  </si>
  <si>
    <t>pv = p * w / (0,622+ w)</t>
  </si>
  <si>
    <t>wB=wI</t>
  </si>
  <si>
    <t>UR= pv/ps *100  %</t>
  </si>
  <si>
    <t>pv sat F</t>
  </si>
  <si>
    <t>pv sat I</t>
  </si>
  <si>
    <t>pv M</t>
  </si>
  <si>
    <t>kg/s  --&gt; minimo garantito OK</t>
  </si>
  <si>
    <t>m ric. 50%</t>
  </si>
  <si>
    <t>m rinnovo 50%</t>
  </si>
  <si>
    <t>ma tot.</t>
  </si>
  <si>
    <t>URA</t>
  </si>
  <si>
    <t>URE</t>
  </si>
  <si>
    <t>wI</t>
  </si>
  <si>
    <t>wI= wA-Δw</t>
  </si>
  <si>
    <t xml:space="preserve">ΔwAI </t>
  </si>
  <si>
    <t xml:space="preserve">Pa   </t>
  </si>
  <si>
    <t>w = 0,622 * pv / (p-pv) = 0,622* UR*ps/100 / (p-UR*ps/100)</t>
  </si>
  <si>
    <t xml:space="preserve">Kgv/Kg as    </t>
  </si>
  <si>
    <t>pv sat E</t>
  </si>
  <si>
    <t>Qs</t>
  </si>
  <si>
    <t>Ql</t>
  </si>
  <si>
    <t>Calcolo fattore di carico</t>
  </si>
  <si>
    <r>
      <t xml:space="preserve">Assumo </t>
    </r>
    <r>
      <rPr>
        <b/>
        <sz val="11"/>
        <color rgb="FFFF0000"/>
        <rFont val="Calibri"/>
        <family val="2"/>
        <scheme val="minor"/>
      </rPr>
      <t>ΔT</t>
    </r>
    <r>
      <rPr>
        <sz val="11"/>
        <color theme="1"/>
        <rFont val="Calibri"/>
        <family val="2"/>
        <scheme val="minor"/>
      </rPr>
      <t xml:space="preserve"> immissione di 7°C:</t>
    </r>
  </si>
  <si>
    <t>Qs totale = m Ct (Ta-Ti)  [w]  con   Ct aria= 1006 j/kg k</t>
  </si>
  <si>
    <t>Trovo la portata immissione</t>
  </si>
  <si>
    <t>Miscelazione rinnovo - ricircolo</t>
  </si>
  <si>
    <t xml:space="preserve">Trovo mvap dalla  Q lat. = mvap* hv = mvap*( 2500 + 1,9 T)   [Kw] </t>
  </si>
  <si>
    <t>h = 1,006*T+w*(2500+1,9*T)     [Kj]</t>
  </si>
  <si>
    <t xml:space="preserve">Pa       </t>
  </si>
  <si>
    <t>pv I</t>
  </si>
  <si>
    <t>ESERCIZIO CLIMATIZZAZIONE ESTIVA CON RICIRCOLO AL 50%</t>
  </si>
  <si>
    <r>
      <t>h</t>
    </r>
    <r>
      <rPr>
        <sz val="9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>= hA-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h</t>
    </r>
  </si>
  <si>
    <t>ESERCIZIO CLIMATIZZAZIONE INVERNALE</t>
  </si>
  <si>
    <t>FC</t>
  </si>
  <si>
    <t>m ric. 0%</t>
  </si>
  <si>
    <t>Temperatura uscita batteria calda 1</t>
  </si>
  <si>
    <t>h1=hI</t>
  </si>
  <si>
    <t>kJ/kg</t>
  </si>
  <si>
    <t>kg v / kg as</t>
  </si>
  <si>
    <t>w1=wE</t>
  </si>
  <si>
    <t>T1</t>
  </si>
  <si>
    <t>pv sat = 0,0496965*T^3+0,979515*T^2+46,9035*T+609,484</t>
  </si>
  <si>
    <t>pv F</t>
  </si>
  <si>
    <t>UR F = pv / psat *100</t>
  </si>
  <si>
    <t>UR% = pv / psat *100</t>
  </si>
  <si>
    <t>kg/kg as</t>
  </si>
  <si>
    <t>P f = m * (h1 - hE) =</t>
  </si>
  <si>
    <t>Portata acqua umidificatore fra 1--&gt;I</t>
  </si>
  <si>
    <t>IMPIANTO DI CLIMATIZZAZIONE INVERNALE SENZA RICIRCOLO</t>
  </si>
  <si>
    <t>CITTA' XXX</t>
  </si>
  <si>
    <t>UR%E</t>
  </si>
  <si>
    <t>UR%A</t>
  </si>
  <si>
    <t>UR% I = pv / psat *100</t>
  </si>
  <si>
    <t>Miscelazione rinnovo / ricircolo</t>
  </si>
  <si>
    <t>m rinnovo 100%</t>
  </si>
  <si>
    <t>Potenza batteria di riscaldamento fra E--&gt;I</t>
  </si>
  <si>
    <t>h = 1,006*T+w*(2501+1,9*T)     [Kj]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</si>
</sst>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0"/>
    <numFmt numFmtId="166" formatCode="0.000"/>
    <numFmt numFmtId="167" formatCode="0.0000"/>
    <numFmt numFmtId="168" formatCode="0.0000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sz val="9"/>
      <color theme="1"/>
      <name val="Calibri"/>
      <family val="2"/>
      <scheme val="minor"/>
    </font>
    <font>
      <i/>
      <sz val="11"/>
      <color rgb="FFFF0000"/>
      <name val="Symbol"/>
      <family val="1"/>
      <charset val="2"/>
    </font>
    <font>
      <i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/>
    <xf numFmtId="0" fontId="0" fillId="2" borderId="0" xfId="0" applyFill="1"/>
    <xf numFmtId="164" fontId="0" fillId="2" borderId="0" xfId="0" applyNumberFormat="1" applyFill="1"/>
    <xf numFmtId="1" fontId="0" fillId="2" borderId="0" xfId="0" applyNumberFormat="1" applyFill="1"/>
    <xf numFmtId="0" fontId="0" fillId="2" borderId="0" xfId="0" applyFill="1" applyAlignment="1">
      <alignment horizontal="right"/>
    </xf>
    <xf numFmtId="2" fontId="0" fillId="2" borderId="0" xfId="0" applyNumberFormat="1" applyFill="1"/>
    <xf numFmtId="2" fontId="0" fillId="3" borderId="0" xfId="0" applyNumberFormat="1" applyFill="1"/>
    <xf numFmtId="0" fontId="0" fillId="3" borderId="0" xfId="0" applyFill="1"/>
    <xf numFmtId="165" fontId="0" fillId="3" borderId="0" xfId="0" applyNumberFormat="1" applyFill="1"/>
    <xf numFmtId="166" fontId="0" fillId="2" borderId="0" xfId="0" applyNumberFormat="1" applyFill="1"/>
    <xf numFmtId="1" fontId="0" fillId="3" borderId="0" xfId="0" applyNumberFormat="1" applyFill="1"/>
    <xf numFmtId="0" fontId="3" fillId="2" borderId="0" xfId="0" applyFont="1" applyFill="1"/>
    <xf numFmtId="0" fontId="0" fillId="4" borderId="0" xfId="0" applyFill="1"/>
    <xf numFmtId="164" fontId="0" fillId="3" borderId="0" xfId="0" applyNumberFormat="1" applyFill="1"/>
    <xf numFmtId="0" fontId="1" fillId="2" borderId="0" xfId="0" applyFont="1" applyFill="1"/>
    <xf numFmtId="16" fontId="0" fillId="2" borderId="0" xfId="0" applyNumberFormat="1" applyFill="1"/>
    <xf numFmtId="0" fontId="0" fillId="5" borderId="0" xfId="0" applyFill="1"/>
    <xf numFmtId="167" fontId="0" fillId="3" borderId="0" xfId="0" applyNumberFormat="1" applyFill="1"/>
    <xf numFmtId="165" fontId="0" fillId="2" borderId="0" xfId="0" applyNumberFormat="1" applyFill="1"/>
    <xf numFmtId="168" fontId="0" fillId="3" borderId="0" xfId="0" applyNumberFormat="1" applyFill="1"/>
    <xf numFmtId="167" fontId="0" fillId="2" borderId="0" xfId="0" applyNumberFormat="1" applyFill="1"/>
    <xf numFmtId="165" fontId="0" fillId="0" borderId="0" xfId="0" applyNumberFormat="1"/>
    <xf numFmtId="167" fontId="0" fillId="0" borderId="0" xfId="0" applyNumberFormat="1"/>
    <xf numFmtId="164" fontId="0" fillId="0" borderId="0" xfId="0" applyNumberFormat="1"/>
    <xf numFmtId="166" fontId="0" fillId="3" borderId="0" xfId="0" applyNumberFormat="1" applyFill="1"/>
    <xf numFmtId="165" fontId="0" fillId="5" borderId="0" xfId="0" applyNumberFormat="1" applyFill="1"/>
    <xf numFmtId="0" fontId="10" fillId="2" borderId="0" xfId="0" applyFont="1" applyFill="1"/>
    <xf numFmtId="165" fontId="10" fillId="3" borderId="0" xfId="0" applyNumberFormat="1" applyFont="1" applyFill="1"/>
    <xf numFmtId="0" fontId="0" fillId="2" borderId="0" xfId="0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52</xdr:row>
      <xdr:rowOff>32969</xdr:rowOff>
    </xdr:from>
    <xdr:to>
      <xdr:col>4</xdr:col>
      <xdr:colOff>303557</xdr:colOff>
      <xdr:row>58</xdr:row>
      <xdr:rowOff>15240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8787" y="8973769"/>
          <a:ext cx="106269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44963</xdr:colOff>
      <xdr:row>83</xdr:row>
      <xdr:rowOff>142240</xdr:rowOff>
    </xdr:from>
    <xdr:to>
      <xdr:col>6</xdr:col>
      <xdr:colOff>78854</xdr:colOff>
      <xdr:row>97</xdr:row>
      <xdr:rowOff>172720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63" y="15234920"/>
          <a:ext cx="4712571" cy="2590800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101</xdr:row>
      <xdr:rowOff>25399</xdr:rowOff>
    </xdr:from>
    <xdr:to>
      <xdr:col>8</xdr:col>
      <xdr:colOff>493171</xdr:colOff>
      <xdr:row>117</xdr:row>
      <xdr:rowOff>48290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18460719"/>
          <a:ext cx="6289451" cy="29489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165427</xdr:colOff>
      <xdr:row>53</xdr:row>
      <xdr:rowOff>32969</xdr:rowOff>
    </xdr:from>
    <xdr:to>
      <xdr:col>4</xdr:col>
      <xdr:colOff>303557</xdr:colOff>
      <xdr:row>59</xdr:row>
      <xdr:rowOff>15240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6247" y="9504629"/>
          <a:ext cx="1060150" cy="1079551"/>
        </a:xfrm>
        <a:prstGeom prst="rect">
          <a:avLst/>
        </a:prstGeom>
        <a:noFill/>
        <a:ln w="1">
          <a:solidFill>
            <a:srgbClr val="FF0000"/>
          </a:solidFill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45720</xdr:colOff>
      <xdr:row>2</xdr:row>
      <xdr:rowOff>106680</xdr:rowOff>
    </xdr:from>
    <xdr:to>
      <xdr:col>24</xdr:col>
      <xdr:colOff>350520</xdr:colOff>
      <xdr:row>39</xdr:row>
      <xdr:rowOff>68580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7960" y="472440"/>
          <a:ext cx="9448800" cy="6690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0</xdr:rowOff>
    </xdr:from>
    <xdr:to>
      <xdr:col>29</xdr:col>
      <xdr:colOff>455396</xdr:colOff>
      <xdr:row>46</xdr:row>
      <xdr:rowOff>68580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" y="0"/>
          <a:ext cx="18088076" cy="84810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6"/>
  <sheetViews>
    <sheetView tabSelected="1" topLeftCell="A19" zoomScaleNormal="100" workbookViewId="0">
      <selection activeCell="L22" sqref="L22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</cols>
  <sheetData>
    <row r="1" spans="1:8">
      <c r="A1" s="1" t="s">
        <v>106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22</v>
      </c>
      <c r="B3" s="2"/>
      <c r="C3" s="2"/>
      <c r="D3" s="2"/>
      <c r="E3" s="2"/>
      <c r="F3" s="2"/>
      <c r="G3" s="2"/>
      <c r="H3" s="2"/>
    </row>
    <row r="4" spans="1:8">
      <c r="A4" s="2" t="s">
        <v>0</v>
      </c>
      <c r="B4" s="2"/>
      <c r="C4" s="2"/>
      <c r="D4" s="2" t="s">
        <v>7</v>
      </c>
      <c r="E4" s="17">
        <v>25</v>
      </c>
      <c r="F4" s="2" t="s">
        <v>25</v>
      </c>
      <c r="G4" s="2"/>
      <c r="H4" s="2"/>
    </row>
    <row r="5" spans="1:8">
      <c r="A5" s="2" t="s">
        <v>1</v>
      </c>
      <c r="B5" s="17">
        <v>32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87</v>
      </c>
      <c r="B6" s="17">
        <v>60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94</v>
      </c>
      <c r="B7" s="11">
        <f>0.0496965*B5^3+0.979515*B5^2+46.9035*B5+609.484</f>
        <v>4741.874272</v>
      </c>
      <c r="C7" s="2" t="s">
        <v>19</v>
      </c>
      <c r="D7" s="12" t="s">
        <v>102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1.7969838715383976E-2</v>
      </c>
      <c r="C8" s="2" t="s">
        <v>16</v>
      </c>
      <c r="D8" s="2" t="s">
        <v>23</v>
      </c>
      <c r="E8" s="8">
        <f>E6/1000/(2501+1.9*$B$17)</f>
        <v>3.9238767902687854E-5</v>
      </c>
      <c r="F8" s="2" t="s">
        <v>8</v>
      </c>
      <c r="G8" s="3">
        <f>E8*3600*1000</f>
        <v>141.25956444967628</v>
      </c>
      <c r="H8" s="2" t="s">
        <v>9</v>
      </c>
    </row>
    <row r="9" spans="1:8">
      <c r="A9" s="2" t="s">
        <v>55</v>
      </c>
      <c r="B9" s="7">
        <f>1.006*B5+B8*(2501+1.805*B5)</f>
        <v>78.172504511375905</v>
      </c>
      <c r="C9" s="2" t="s">
        <v>113</v>
      </c>
      <c r="D9" s="2" t="s">
        <v>24</v>
      </c>
      <c r="E9" s="20">
        <f>E8*E4</f>
        <v>9.8096919756719627E-4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90</v>
      </c>
      <c r="E10" s="8">
        <f>E9/B33</f>
        <v>9.8685501275259935E-4</v>
      </c>
      <c r="G10" s="15" t="s">
        <v>27</v>
      </c>
    </row>
    <row r="11" spans="1:8">
      <c r="A11" s="2" t="s">
        <v>64</v>
      </c>
      <c r="B11" s="17">
        <v>10000</v>
      </c>
      <c r="C11" s="2" t="s">
        <v>3</v>
      </c>
      <c r="D11" s="2" t="s">
        <v>88</v>
      </c>
      <c r="E11" s="28">
        <f>B20-E10</f>
        <v>8.9000031318268377E-3</v>
      </c>
      <c r="F11" s="2"/>
      <c r="G11" s="15" t="s">
        <v>89</v>
      </c>
      <c r="H11" s="2"/>
    </row>
    <row r="12" spans="1:8">
      <c r="A12" s="2" t="s">
        <v>65</v>
      </c>
      <c r="B12" s="17">
        <f>E6*E4</f>
        <v>2500</v>
      </c>
      <c r="C12" s="2" t="s">
        <v>3</v>
      </c>
      <c r="D12" s="2"/>
      <c r="E12" s="2"/>
      <c r="F12" s="2"/>
      <c r="G12" s="2"/>
      <c r="H12" s="2"/>
    </row>
    <row r="13" spans="1:8">
      <c r="A13" s="2"/>
      <c r="B13" s="2"/>
      <c r="C13" s="2"/>
      <c r="D13" s="2"/>
      <c r="E13" s="2"/>
      <c r="F13" s="2"/>
      <c r="G13" s="2"/>
      <c r="H13" s="2"/>
    </row>
    <row r="14" spans="1:8">
      <c r="A14" s="1" t="s">
        <v>21</v>
      </c>
      <c r="B14" s="6"/>
      <c r="C14" s="2"/>
      <c r="D14" s="2"/>
      <c r="E14" s="2"/>
      <c r="F14" s="2"/>
      <c r="G14" s="2"/>
      <c r="H14" s="2"/>
    </row>
    <row r="15" spans="1:8" ht="13.2" customHeight="1">
      <c r="A15" s="2"/>
      <c r="B15" s="2"/>
      <c r="C15" s="2"/>
      <c r="D15" s="2"/>
      <c r="E15" s="2"/>
      <c r="F15" s="2"/>
      <c r="G15" s="2"/>
      <c r="H15" s="2"/>
    </row>
    <row r="16" spans="1:8">
      <c r="A16" s="2" t="s">
        <v>20</v>
      </c>
      <c r="B16" s="2"/>
      <c r="C16" s="2"/>
      <c r="D16" s="2"/>
      <c r="E16" s="3"/>
      <c r="F16" s="2"/>
      <c r="G16" s="2"/>
      <c r="H16" s="2"/>
    </row>
    <row r="17" spans="1:8" ht="14.4" customHeight="1">
      <c r="A17" s="2" t="s">
        <v>5</v>
      </c>
      <c r="B17" s="17">
        <v>25</v>
      </c>
      <c r="C17" s="2" t="s">
        <v>6</v>
      </c>
      <c r="D17" s="2"/>
      <c r="E17" s="2"/>
      <c r="F17" s="2"/>
      <c r="G17" s="2"/>
      <c r="H17" s="2"/>
    </row>
    <row r="18" spans="1:8" ht="14.4" customHeight="1">
      <c r="A18" s="2" t="s">
        <v>86</v>
      </c>
      <c r="B18" s="17">
        <v>50</v>
      </c>
      <c r="C18" s="2" t="s">
        <v>2</v>
      </c>
      <c r="D18" s="12" t="s">
        <v>78</v>
      </c>
      <c r="E18" s="2"/>
      <c r="F18" s="2"/>
      <c r="G18" s="2"/>
      <c r="H18" s="2"/>
    </row>
    <row r="19" spans="1:8" ht="14.4" customHeight="1">
      <c r="A19" s="2" t="s">
        <v>11</v>
      </c>
      <c r="B19" s="11">
        <f>0.0496965*B17^3+0.979515*B17^2+46.9035*B17+609.484</f>
        <v>3170.7761875000001</v>
      </c>
      <c r="C19" s="2" t="s">
        <v>91</v>
      </c>
      <c r="D19" s="12" t="s">
        <v>37</v>
      </c>
      <c r="E19" s="2"/>
      <c r="F19" s="2"/>
    </row>
    <row r="20" spans="1:8" ht="14.4" customHeight="1">
      <c r="A20" s="2" t="s">
        <v>18</v>
      </c>
      <c r="B20" s="9">
        <f>0.622*B18/100*B19/(101325-B18/100*B19)</f>
        <v>9.8868581445794371E-3</v>
      </c>
      <c r="C20" s="2" t="s">
        <v>93</v>
      </c>
      <c r="D20" s="12" t="s">
        <v>92</v>
      </c>
      <c r="E20" s="2"/>
      <c r="F20" s="2"/>
      <c r="G20" s="2"/>
      <c r="H20" s="2"/>
    </row>
    <row r="21" spans="1:8" ht="14.4" customHeight="1">
      <c r="A21" s="2" t="s">
        <v>13</v>
      </c>
      <c r="B21" s="7">
        <f>1.006*B17+B20*(2501+1.805*B17)</f>
        <v>50.323176693367316</v>
      </c>
      <c r="C21" s="2" t="s">
        <v>113</v>
      </c>
      <c r="D21" s="12" t="s">
        <v>103</v>
      </c>
      <c r="E21" s="2"/>
      <c r="F21" s="2"/>
      <c r="G21" s="2"/>
      <c r="H21" s="2"/>
    </row>
    <row r="22" spans="1:8" ht="14.4" customHeight="1">
      <c r="A22" s="2"/>
      <c r="B22" s="2"/>
      <c r="C22" s="2"/>
      <c r="D22" s="2"/>
      <c r="E22" s="6"/>
      <c r="F22" s="2"/>
      <c r="G22" s="2"/>
      <c r="H22" s="2"/>
    </row>
    <row r="23" spans="1:8">
      <c r="A23" s="1" t="s">
        <v>97</v>
      </c>
      <c r="B23" s="2"/>
      <c r="C23" s="2"/>
      <c r="D23" s="2"/>
      <c r="E23" s="2"/>
      <c r="F23" s="2"/>
      <c r="G23" s="2"/>
      <c r="H23" s="2"/>
    </row>
    <row r="24" spans="1:8">
      <c r="A24" s="2" t="s">
        <v>95</v>
      </c>
      <c r="B24" s="2">
        <f>B11</f>
        <v>10000</v>
      </c>
      <c r="C24" s="2" t="s">
        <v>3</v>
      </c>
      <c r="D24" s="2"/>
      <c r="E24" s="2"/>
      <c r="F24" s="2"/>
      <c r="G24" s="2"/>
      <c r="H24" s="2"/>
    </row>
    <row r="25" spans="1:8">
      <c r="A25" s="2" t="s">
        <v>96</v>
      </c>
      <c r="B25" s="2">
        <v>2500</v>
      </c>
      <c r="C25" s="2" t="s">
        <v>3</v>
      </c>
      <c r="D25" s="2"/>
      <c r="E25" s="2"/>
      <c r="F25" s="2"/>
      <c r="G25" s="2"/>
      <c r="H25" s="2"/>
    </row>
    <row r="26" spans="1:8">
      <c r="A26" s="29" t="s">
        <v>14</v>
      </c>
      <c r="B26" s="8">
        <f>B24+B25</f>
        <v>12500</v>
      </c>
      <c r="C26" s="2" t="s">
        <v>3</v>
      </c>
      <c r="D26" s="5"/>
      <c r="E26" s="6"/>
      <c r="F26" s="2"/>
      <c r="G26" s="2"/>
      <c r="H26" s="2"/>
    </row>
    <row r="27" spans="1:8">
      <c r="A27" s="29" t="s">
        <v>15</v>
      </c>
      <c r="B27" s="7">
        <f>B24/(B24+B25)</f>
        <v>0.8</v>
      </c>
      <c r="C27" s="2"/>
      <c r="D27" s="5"/>
      <c r="E27" s="6"/>
      <c r="F27" s="2"/>
      <c r="G27" s="2"/>
      <c r="H27" s="2"/>
    </row>
    <row r="28" spans="1:8">
      <c r="A28" s="2"/>
      <c r="B28" s="6"/>
      <c r="C28" s="2"/>
      <c r="D28" s="2"/>
      <c r="E28" s="2"/>
      <c r="F28" s="2"/>
      <c r="G28" s="2"/>
      <c r="H28" s="2"/>
    </row>
    <row r="29" spans="1:8">
      <c r="A29" s="2" t="s">
        <v>98</v>
      </c>
      <c r="B29" s="17">
        <v>10</v>
      </c>
      <c r="C29" s="2" t="s">
        <v>6</v>
      </c>
      <c r="D29" s="2"/>
      <c r="E29" s="2"/>
      <c r="F29" s="2"/>
      <c r="G29" s="2"/>
      <c r="H29" s="2"/>
    </row>
    <row r="30" spans="1:8">
      <c r="A30" s="2" t="s">
        <v>69</v>
      </c>
      <c r="B30" s="13">
        <f>B17-B29</f>
        <v>15</v>
      </c>
      <c r="C30" s="2" t="s">
        <v>6</v>
      </c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2"/>
      <c r="G31" s="2"/>
      <c r="H31" s="2"/>
    </row>
    <row r="32" spans="1:8">
      <c r="A32" s="2" t="s">
        <v>100</v>
      </c>
      <c r="B32" s="6"/>
      <c r="C32" s="2"/>
      <c r="D32" s="2"/>
      <c r="E32" s="2"/>
      <c r="F32" s="2"/>
      <c r="G32" s="2"/>
      <c r="H32" s="2"/>
    </row>
    <row r="33" spans="1:8">
      <c r="A33" s="2" t="s">
        <v>85</v>
      </c>
      <c r="B33" s="6">
        <f>B24/(1006*(B17-B30))</f>
        <v>0.99403578528827041</v>
      </c>
      <c r="C33" s="2" t="s">
        <v>10</v>
      </c>
      <c r="D33" s="12" t="s">
        <v>99</v>
      </c>
      <c r="E33" s="2"/>
      <c r="F33" s="2"/>
      <c r="G33" s="2"/>
      <c r="H33" s="2"/>
    </row>
    <row r="34" spans="1:8">
      <c r="A34" s="2" t="s">
        <v>67</v>
      </c>
      <c r="B34" s="3">
        <f>B26/B33/1000</f>
        <v>12.574999999999999</v>
      </c>
      <c r="C34" s="2" t="s">
        <v>113</v>
      </c>
      <c r="D34" s="12" t="s">
        <v>68</v>
      </c>
      <c r="E34" s="2"/>
      <c r="F34" s="2"/>
      <c r="G34" s="2"/>
      <c r="H34" s="2"/>
    </row>
    <row r="35" spans="1:8">
      <c r="A35" s="2" t="s">
        <v>66</v>
      </c>
      <c r="B35" s="6">
        <f>B21-B34</f>
        <v>37.748176693367313</v>
      </c>
      <c r="C35" s="2" t="s">
        <v>113</v>
      </c>
      <c r="D35" s="2" t="s">
        <v>107</v>
      </c>
      <c r="E35" s="2"/>
      <c r="F35" s="2"/>
      <c r="G35" s="2"/>
      <c r="H35" s="2"/>
    </row>
    <row r="36" spans="1:8">
      <c r="A36" s="2" t="s">
        <v>88</v>
      </c>
      <c r="B36" s="9">
        <f>(B35-1.006*B30)/(2500+1.9*B30)</f>
        <v>8.9611139779977502E-3</v>
      </c>
      <c r="C36" s="2" t="s">
        <v>16</v>
      </c>
      <c r="D36" s="12" t="s">
        <v>92</v>
      </c>
      <c r="E36" s="2"/>
      <c r="F36" s="2"/>
      <c r="G36" s="2"/>
      <c r="H36" s="2"/>
    </row>
    <row r="37" spans="1:8">
      <c r="A37" s="2" t="s">
        <v>66</v>
      </c>
      <c r="B37" s="7">
        <f>(1.006+1.9*B36)*B30+2501*B36</f>
        <v>37.757137807345309</v>
      </c>
      <c r="C37" s="2" t="s">
        <v>17</v>
      </c>
      <c r="D37" s="12" t="s">
        <v>70</v>
      </c>
      <c r="E37" s="2"/>
      <c r="F37" s="2"/>
      <c r="G37" s="2"/>
      <c r="H37" s="2"/>
    </row>
    <row r="38" spans="1:8">
      <c r="A38" s="2" t="s">
        <v>80</v>
      </c>
      <c r="B38" s="11">
        <f>0.0496965*$B$30^3+0.979515*$B$30^2+46.9035*$B$30+609.484</f>
        <v>1701.1530625</v>
      </c>
      <c r="C38" s="2" t="s">
        <v>19</v>
      </c>
      <c r="D38" s="12" t="s">
        <v>37</v>
      </c>
      <c r="E38" s="2"/>
      <c r="F38" s="2"/>
      <c r="G38" s="2"/>
      <c r="H38" s="2"/>
    </row>
    <row r="39" spans="1:8">
      <c r="A39" s="2" t="s">
        <v>105</v>
      </c>
      <c r="B39" s="11">
        <f>101325*B36/(0.622+B36)</f>
        <v>1439.0504481267992</v>
      </c>
      <c r="C39" s="2" t="s">
        <v>104</v>
      </c>
      <c r="D39" s="12" t="s">
        <v>76</v>
      </c>
      <c r="E39" s="2"/>
      <c r="F39" s="2"/>
      <c r="G39" s="2"/>
      <c r="H39" s="2"/>
    </row>
    <row r="40" spans="1:8">
      <c r="A40" s="2" t="s">
        <v>57</v>
      </c>
      <c r="B40" s="14">
        <f>B39/B38*100</f>
        <v>84.592649529842006</v>
      </c>
      <c r="C40" s="2" t="s">
        <v>2</v>
      </c>
      <c r="D40" s="2"/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>
      <c r="A42" s="1" t="s">
        <v>28</v>
      </c>
      <c r="B42" s="2"/>
      <c r="C42" s="2"/>
      <c r="D42" s="2"/>
      <c r="E42" s="2"/>
      <c r="F42" s="2"/>
      <c r="G42" s="2"/>
      <c r="H42" s="2"/>
    </row>
    <row r="43" spans="1:8">
      <c r="A43" s="2" t="s">
        <v>29</v>
      </c>
      <c r="B43" s="2">
        <v>7.5</v>
      </c>
      <c r="C43" s="2" t="s">
        <v>30</v>
      </c>
      <c r="D43" s="2">
        <f>B43*3.6</f>
        <v>27</v>
      </c>
      <c r="E43" s="2" t="s">
        <v>31</v>
      </c>
      <c r="F43" s="2">
        <f>1.2*D43</f>
        <v>32.4</v>
      </c>
      <c r="G43" s="2" t="s">
        <v>32</v>
      </c>
      <c r="H43" s="21">
        <f>F43/3600</f>
        <v>8.9999999999999993E-3</v>
      </c>
    </row>
    <row r="44" spans="1:8">
      <c r="A44" s="2" t="s">
        <v>33</v>
      </c>
      <c r="B44" s="2">
        <v>25</v>
      </c>
      <c r="C44" s="2"/>
      <c r="D44" s="2"/>
      <c r="E44" s="2"/>
      <c r="F44" s="2"/>
      <c r="G44" s="2"/>
      <c r="H44" s="2"/>
    </row>
    <row r="45" spans="1:8">
      <c r="A45" s="2" t="s">
        <v>71</v>
      </c>
      <c r="B45" s="8">
        <f>B44*H43</f>
        <v>0.22499999999999998</v>
      </c>
      <c r="C45" s="2" t="s">
        <v>72</v>
      </c>
      <c r="D45" s="2"/>
      <c r="E45" s="2"/>
      <c r="F45" s="2"/>
      <c r="G45" s="2"/>
      <c r="H45" s="2"/>
    </row>
    <row r="46" spans="1:8">
      <c r="A46" s="2"/>
      <c r="B46" s="2"/>
      <c r="C46" s="2"/>
      <c r="D46" s="2"/>
      <c r="E46" s="2"/>
      <c r="F46" s="2"/>
      <c r="G46" s="2"/>
      <c r="H46" s="2"/>
    </row>
    <row r="47" spans="1:8">
      <c r="A47" s="2" t="s">
        <v>101</v>
      </c>
      <c r="B47" s="2"/>
      <c r="C47" s="2"/>
      <c r="D47" s="2"/>
      <c r="E47" s="2"/>
      <c r="F47" s="2"/>
      <c r="G47" s="2"/>
      <c r="H47" s="2"/>
    </row>
    <row r="48" spans="1:8">
      <c r="A48" s="2" t="s">
        <v>35</v>
      </c>
      <c r="B48" s="10">
        <f>B33</f>
        <v>0.99403578528827041</v>
      </c>
      <c r="C48" s="2" t="s">
        <v>72</v>
      </c>
      <c r="D48" s="2"/>
      <c r="E48" s="2"/>
      <c r="F48" s="2"/>
      <c r="G48" s="2"/>
      <c r="H48" s="2"/>
    </row>
    <row r="49" spans="1:8">
      <c r="A49" s="2" t="s">
        <v>83</v>
      </c>
      <c r="B49" s="25">
        <f>B48/2</f>
        <v>0.49701789264413521</v>
      </c>
      <c r="C49" s="2" t="s">
        <v>72</v>
      </c>
      <c r="D49" s="2"/>
      <c r="E49" s="2"/>
      <c r="F49" s="2"/>
      <c r="G49" s="2"/>
      <c r="H49" s="2"/>
    </row>
    <row r="50" spans="1:8">
      <c r="A50" s="2" t="s">
        <v>84</v>
      </c>
      <c r="B50" s="25">
        <f>B48/2</f>
        <v>0.49701789264413521</v>
      </c>
      <c r="C50" s="2" t="s">
        <v>82</v>
      </c>
      <c r="D50" s="2"/>
      <c r="E50" s="2"/>
      <c r="F50" s="2"/>
      <c r="G50" s="2"/>
      <c r="H50" s="2"/>
    </row>
    <row r="51" spans="1:8">
      <c r="A51" s="2"/>
      <c r="B51" s="2"/>
      <c r="C51" s="2"/>
      <c r="D51" s="2"/>
      <c r="E51" s="2"/>
      <c r="F51" s="2"/>
      <c r="G51" s="2"/>
      <c r="H51" s="2"/>
    </row>
    <row r="52" spans="1:8">
      <c r="A52" s="1" t="s">
        <v>60</v>
      </c>
      <c r="B52" s="2"/>
      <c r="C52" s="2"/>
      <c r="D52" s="2"/>
      <c r="E52" s="2"/>
      <c r="F52" s="2"/>
      <c r="G52" s="2"/>
      <c r="H52" s="2"/>
    </row>
    <row r="53" spans="1:8">
      <c r="A53" s="2" t="s">
        <v>48</v>
      </c>
      <c r="B53" s="14">
        <f>(B5*$B$50+B17*$B$49)/$B$48</f>
        <v>28.5</v>
      </c>
      <c r="C53" s="2" t="s">
        <v>6</v>
      </c>
      <c r="D53" s="2"/>
      <c r="E53" s="2"/>
      <c r="F53" s="2"/>
      <c r="G53" s="2"/>
      <c r="H53" s="2"/>
    </row>
    <row r="54" spans="1:8">
      <c r="A54" s="2" t="s">
        <v>49</v>
      </c>
      <c r="B54" s="14">
        <f>(B9*$B$50+B21*$B$49)/$B$48</f>
        <v>64.24784060237161</v>
      </c>
      <c r="C54" s="2" t="s">
        <v>113</v>
      </c>
      <c r="D54" s="2"/>
      <c r="E54" s="2"/>
      <c r="F54" s="2"/>
      <c r="G54" s="2"/>
      <c r="H54" s="2"/>
    </row>
    <row r="55" spans="1:8">
      <c r="A55" s="2" t="s">
        <v>50</v>
      </c>
      <c r="B55" s="18">
        <f>(B8*$B$50+B20*$B$49)/$B$48</f>
        <v>1.3928348429981705E-2</v>
      </c>
      <c r="C55" s="2" t="s">
        <v>34</v>
      </c>
      <c r="D55" s="2"/>
      <c r="E55" s="2"/>
      <c r="F55" s="2"/>
      <c r="G55" s="2"/>
      <c r="H55" s="2"/>
    </row>
    <row r="56" spans="1:8">
      <c r="A56" s="2" t="s">
        <v>80</v>
      </c>
      <c r="B56" s="11">
        <f>0.0496965*B53^3+0.979515*B53^2+46.9035*B53+609.484</f>
        <v>3892.2752993125</v>
      </c>
      <c r="C56" s="2" t="s">
        <v>19</v>
      </c>
      <c r="D56" s="2"/>
      <c r="E56" s="2"/>
      <c r="F56" s="2"/>
      <c r="G56" s="2"/>
      <c r="H56" s="2"/>
    </row>
    <row r="57" spans="1:8">
      <c r="A57" s="2" t="s">
        <v>81</v>
      </c>
      <c r="B57" s="11">
        <f>101325*B55/(0.622+B55)</f>
        <v>2219.2593051594163</v>
      </c>
      <c r="C57" s="2" t="s">
        <v>19</v>
      </c>
      <c r="D57" s="2"/>
      <c r="E57" s="2"/>
      <c r="F57" s="2"/>
      <c r="G57" s="2"/>
      <c r="H57" s="2"/>
    </row>
    <row r="58" spans="1:8">
      <c r="A58" s="2" t="s">
        <v>26</v>
      </c>
      <c r="B58" s="14">
        <f>B57/B56*100</f>
        <v>57.017017926543076</v>
      </c>
      <c r="C58" s="2" t="s">
        <v>2</v>
      </c>
      <c r="D58" s="2"/>
      <c r="E58" s="2"/>
      <c r="F58" s="2"/>
      <c r="G58" s="2"/>
      <c r="H58" s="2"/>
    </row>
    <row r="59" spans="1:8">
      <c r="A59" s="2"/>
      <c r="B59" s="2"/>
      <c r="C59" s="2"/>
      <c r="D59" s="2"/>
      <c r="E59" s="2"/>
      <c r="F59" s="2"/>
      <c r="G59" s="2"/>
      <c r="H59" s="2"/>
    </row>
    <row r="60" spans="1:8">
      <c r="A60" s="1" t="s">
        <v>73</v>
      </c>
      <c r="B60" s="2"/>
      <c r="C60" s="2"/>
      <c r="D60" s="2"/>
      <c r="E60" s="2"/>
      <c r="F60" s="2"/>
      <c r="G60" s="2"/>
      <c r="H60" s="2"/>
    </row>
    <row r="61" spans="1:8">
      <c r="A61" s="2" t="s">
        <v>36</v>
      </c>
      <c r="B61" s="2">
        <v>10</v>
      </c>
      <c r="C61" s="2" t="s">
        <v>6</v>
      </c>
      <c r="D61" s="2"/>
      <c r="E61" s="2"/>
      <c r="F61" s="2"/>
      <c r="G61" s="2"/>
      <c r="H61" s="2"/>
    </row>
    <row r="62" spans="1:8">
      <c r="A62" s="2" t="s">
        <v>51</v>
      </c>
      <c r="B62" s="2">
        <v>100</v>
      </c>
      <c r="C62" s="2" t="s">
        <v>2</v>
      </c>
      <c r="D62" s="2"/>
      <c r="E62" s="2"/>
      <c r="F62" s="2"/>
      <c r="G62" s="2"/>
      <c r="H62" s="2"/>
    </row>
    <row r="63" spans="1:8">
      <c r="A63" s="2" t="s">
        <v>79</v>
      </c>
      <c r="B63" s="11">
        <f>0.0496965*B61^3+0.979515*B61^2+46.9035*B61+609.484</f>
        <v>1226.1669999999999</v>
      </c>
      <c r="C63" s="2" t="s">
        <v>19</v>
      </c>
      <c r="D63" s="2"/>
      <c r="E63" s="2"/>
      <c r="F63" s="2"/>
      <c r="G63" s="2"/>
      <c r="H63" s="2"/>
    </row>
    <row r="64" spans="1:8">
      <c r="A64" s="2" t="s">
        <v>52</v>
      </c>
      <c r="B64" s="18">
        <f>0.622*B62/100*B63/(101325-B62/100*B63)</f>
        <v>7.6192284279677858E-3</v>
      </c>
      <c r="C64" s="2" t="s">
        <v>12</v>
      </c>
      <c r="D64" s="2"/>
      <c r="E64" s="2"/>
      <c r="F64" s="2"/>
      <c r="G64" s="2"/>
      <c r="H64" s="2"/>
    </row>
    <row r="65" spans="1:8">
      <c r="A65" s="2" t="s">
        <v>53</v>
      </c>
      <c r="B65" s="7">
        <f>1.006*B61+B64*(2501+1.805*B61)</f>
        <v>29.253217371472253</v>
      </c>
      <c r="C65" s="2" t="s">
        <v>113</v>
      </c>
      <c r="D65" s="2"/>
      <c r="E65" s="2"/>
      <c r="F65" s="2"/>
      <c r="G65" s="2"/>
      <c r="H65" s="2"/>
    </row>
    <row r="66" spans="1:8">
      <c r="A66" s="2"/>
      <c r="B66" s="2"/>
      <c r="C66" s="2"/>
      <c r="D66" s="2"/>
      <c r="E66" s="2"/>
      <c r="F66" s="2"/>
      <c r="G66" s="2"/>
      <c r="H66" s="2"/>
    </row>
    <row r="67" spans="1:8">
      <c r="A67" s="1" t="s">
        <v>61</v>
      </c>
      <c r="B67" s="2"/>
      <c r="C67" s="2"/>
      <c r="D67" s="2"/>
      <c r="E67" s="2"/>
      <c r="F67" s="2"/>
      <c r="G67" s="2"/>
      <c r="H67" s="2"/>
    </row>
    <row r="68" spans="1:8">
      <c r="A68" s="2" t="s">
        <v>38</v>
      </c>
      <c r="B68" s="17">
        <f>B61+(B36-B64)/((B55-B64)/(B53-B61))</f>
        <v>13.93476153055102</v>
      </c>
      <c r="C68" s="2" t="s">
        <v>6</v>
      </c>
      <c r="D68" t="s">
        <v>62</v>
      </c>
      <c r="E68" s="2"/>
      <c r="F68" s="2"/>
      <c r="G68" s="2"/>
      <c r="H68" s="2"/>
    </row>
    <row r="69" spans="1:8">
      <c r="A69" s="2" t="s">
        <v>41</v>
      </c>
      <c r="B69" s="10">
        <f>(B68-B61)/(B53-B61)</f>
        <v>0.2126898124622173</v>
      </c>
      <c r="C69" s="2"/>
      <c r="D69" t="s">
        <v>63</v>
      </c>
      <c r="E69" s="2"/>
      <c r="F69" s="2"/>
      <c r="G69" s="2"/>
      <c r="H69" s="2"/>
    </row>
    <row r="70" spans="1:8">
      <c r="A70" s="2" t="s">
        <v>77</v>
      </c>
      <c r="B70" s="26">
        <f>B36</f>
        <v>8.9611139779977502E-3</v>
      </c>
      <c r="C70" s="2" t="s">
        <v>34</v>
      </c>
      <c r="D70" s="2"/>
      <c r="E70" s="10"/>
      <c r="F70" s="2"/>
      <c r="G70" s="2"/>
      <c r="H70" s="2"/>
    </row>
    <row r="71" spans="1:8">
      <c r="A71" s="2" t="s">
        <v>74</v>
      </c>
      <c r="B71" s="11">
        <f>0.0496965*B68^3+0.979515*B68^2+46.9035*B68+609.484</f>
        <v>1587.7426356534118</v>
      </c>
      <c r="C71" s="2" t="s">
        <v>19</v>
      </c>
      <c r="D71" s="12" t="s">
        <v>37</v>
      </c>
      <c r="E71" s="2"/>
      <c r="F71" s="2"/>
      <c r="G71" s="2"/>
      <c r="H71" s="2"/>
    </row>
    <row r="72" spans="1:8">
      <c r="A72" s="2" t="s">
        <v>56</v>
      </c>
      <c r="B72" s="11">
        <f>101325*B70/(0.622+B70)</f>
        <v>1439.0504481267992</v>
      </c>
      <c r="C72" s="2" t="s">
        <v>75</v>
      </c>
      <c r="D72" s="12" t="s">
        <v>76</v>
      </c>
      <c r="E72" s="2"/>
      <c r="F72" s="2"/>
      <c r="G72" s="2"/>
      <c r="H72" s="2"/>
    </row>
    <row r="73" spans="1:8">
      <c r="A73" s="2" t="s">
        <v>40</v>
      </c>
      <c r="B73" s="14">
        <f>B72/B71*100</f>
        <v>90.634994350616495</v>
      </c>
      <c r="C73" s="2" t="s">
        <v>2</v>
      </c>
      <c r="D73" s="12" t="s">
        <v>78</v>
      </c>
      <c r="E73" s="2"/>
      <c r="F73" s="2"/>
      <c r="G73" s="2"/>
      <c r="H73" s="2"/>
    </row>
    <row r="74" spans="1:8">
      <c r="A74" s="2" t="s">
        <v>39</v>
      </c>
      <c r="B74" s="7">
        <f>1.006*B68+B70*(2501+1.9*B68)</f>
        <v>36.667371032736526</v>
      </c>
      <c r="C74" s="2" t="s">
        <v>113</v>
      </c>
      <c r="D74" s="12" t="s">
        <v>132</v>
      </c>
      <c r="E74" s="2"/>
      <c r="F74" s="2"/>
      <c r="G74" s="16"/>
      <c r="H74" s="2"/>
    </row>
    <row r="75" spans="1:8">
      <c r="A75" s="2"/>
      <c r="B75" s="2"/>
      <c r="C75" s="2"/>
      <c r="D75" s="2"/>
      <c r="E75" s="2"/>
      <c r="F75" s="2"/>
      <c r="G75" s="2"/>
      <c r="H75" s="2"/>
    </row>
    <row r="76" spans="1:8">
      <c r="A76" s="1" t="s">
        <v>42</v>
      </c>
      <c r="B76" s="2"/>
      <c r="C76" s="2"/>
      <c r="D76" s="2"/>
      <c r="E76" s="2"/>
      <c r="F76" s="2"/>
      <c r="G76" s="2"/>
      <c r="H76" s="2"/>
    </row>
    <row r="77" spans="1:8">
      <c r="A77" s="2" t="s">
        <v>43</v>
      </c>
      <c r="B77" s="14">
        <f>B48*(B54-B74)</f>
        <v>27.415973727271457</v>
      </c>
      <c r="C77" s="2" t="s">
        <v>46</v>
      </c>
      <c r="D77" s="2"/>
      <c r="E77" s="2"/>
      <c r="F77" s="2"/>
      <c r="G77" s="2"/>
      <c r="H77" s="2"/>
    </row>
    <row r="78" spans="1:8">
      <c r="A78" s="2"/>
      <c r="B78" s="14"/>
      <c r="C78" s="2"/>
      <c r="D78" s="2"/>
      <c r="E78" s="2"/>
      <c r="F78" s="2"/>
      <c r="G78" s="6"/>
      <c r="H78" s="2"/>
    </row>
    <row r="79" spans="1:8">
      <c r="A79" s="1" t="s">
        <v>59</v>
      </c>
      <c r="B79" s="2"/>
      <c r="C79" s="2"/>
      <c r="D79" s="2"/>
      <c r="E79" s="2"/>
      <c r="F79" s="2"/>
      <c r="G79" s="6"/>
      <c r="H79" s="2"/>
    </row>
    <row r="80" spans="1:8">
      <c r="A80" s="2" t="s">
        <v>47</v>
      </c>
      <c r="B80" s="8">
        <f>B48*(B55-B36)</f>
        <v>4.9376087991888223E-3</v>
      </c>
      <c r="C80" s="2" t="s">
        <v>10</v>
      </c>
      <c r="D80" s="6">
        <f>B80*3600</f>
        <v>17.77539167707976</v>
      </c>
      <c r="E80" s="2" t="s">
        <v>32</v>
      </c>
      <c r="F80" s="2"/>
      <c r="G80" s="2"/>
      <c r="H80" s="2"/>
    </row>
    <row r="81" spans="1:8">
      <c r="A81" s="2"/>
      <c r="B81" s="2"/>
      <c r="C81" s="2"/>
      <c r="D81" s="6"/>
      <c r="E81" s="2"/>
      <c r="F81" s="2"/>
      <c r="G81" s="2"/>
      <c r="H81" s="2"/>
    </row>
    <row r="82" spans="1:8">
      <c r="A82" s="1" t="s">
        <v>44</v>
      </c>
      <c r="B82" s="3"/>
      <c r="C82" s="2"/>
      <c r="D82" s="2"/>
      <c r="E82" s="2"/>
      <c r="F82" s="2"/>
      <c r="G82" s="2"/>
      <c r="H82" s="2"/>
    </row>
    <row r="83" spans="1:8">
      <c r="A83" s="2" t="s">
        <v>45</v>
      </c>
      <c r="B83" s="14">
        <f>B48*(B37-B74)</f>
        <v>1.0832671715793076</v>
      </c>
      <c r="C83" s="2" t="s">
        <v>46</v>
      </c>
      <c r="D83" s="2"/>
      <c r="E83" s="2"/>
      <c r="F83" s="2"/>
      <c r="G83" s="2"/>
      <c r="H83" s="2"/>
    </row>
    <row r="84" spans="1:8">
      <c r="A84" s="2"/>
      <c r="B84" s="2"/>
      <c r="C84" s="2"/>
      <c r="D84" s="2"/>
      <c r="E84" s="2"/>
      <c r="F84" s="2"/>
      <c r="G84" s="2"/>
      <c r="H84" s="2"/>
    </row>
    <row r="85" spans="1:8">
      <c r="A85" s="2"/>
      <c r="B85" s="2"/>
      <c r="C85" s="2"/>
      <c r="D85" s="2"/>
      <c r="E85" s="2"/>
      <c r="F85" s="2"/>
      <c r="G85" s="2"/>
      <c r="H85" s="2"/>
    </row>
    <row r="86" spans="1:8">
      <c r="A86" s="1"/>
      <c r="B86" s="2"/>
      <c r="C86" s="2"/>
      <c r="D86" s="2"/>
      <c r="E86" s="2"/>
      <c r="F86" s="2"/>
      <c r="G86" s="2"/>
      <c r="H86" s="2"/>
    </row>
    <row r="87" spans="1:8">
      <c r="A87" s="2"/>
      <c r="B87" s="19"/>
      <c r="C87" s="2"/>
      <c r="D87" s="2"/>
      <c r="E87" s="2"/>
      <c r="F87" s="2"/>
      <c r="G87" s="2"/>
      <c r="H87" s="2"/>
    </row>
    <row r="88" spans="1:8">
      <c r="A88" s="2"/>
      <c r="B88" s="2"/>
      <c r="C88" s="2"/>
      <c r="D88" s="2"/>
      <c r="E88" s="2"/>
      <c r="F88" s="2"/>
      <c r="G88" s="2"/>
      <c r="H88" s="2"/>
    </row>
    <row r="89" spans="1:8">
      <c r="A89" s="2"/>
      <c r="B89" s="6"/>
      <c r="C89" s="2"/>
      <c r="D89" s="2"/>
      <c r="E89" s="2"/>
      <c r="F89" s="2"/>
      <c r="G89" s="2"/>
      <c r="H89" s="2"/>
    </row>
    <row r="90" spans="1:8">
      <c r="A90" s="2"/>
      <c r="B90" s="6"/>
      <c r="C90" s="2"/>
      <c r="D90" s="2"/>
      <c r="E90" s="2"/>
      <c r="F90" s="2"/>
      <c r="G90" s="2"/>
      <c r="H90" s="2"/>
    </row>
    <row r="91" spans="1:8">
      <c r="A91" s="2"/>
      <c r="B91" s="6"/>
      <c r="C91" s="2"/>
      <c r="D91" s="2"/>
      <c r="E91" s="2"/>
      <c r="F91" s="2"/>
      <c r="H91" s="2"/>
    </row>
    <row r="92" spans="1:8">
      <c r="A92" s="2"/>
      <c r="B92" s="2"/>
      <c r="C92" s="2"/>
      <c r="D92" s="2"/>
      <c r="E92" s="2"/>
      <c r="F92" s="2"/>
      <c r="G92" s="2"/>
      <c r="H92" s="2"/>
    </row>
    <row r="93" spans="1:8">
      <c r="A93" s="2"/>
      <c r="B93" s="2"/>
      <c r="C93" s="2"/>
      <c r="D93" s="2"/>
      <c r="E93" s="2"/>
      <c r="F93" s="2"/>
      <c r="G93" s="2"/>
      <c r="H93" s="2"/>
    </row>
    <row r="94" spans="1:8">
      <c r="A94" s="2"/>
      <c r="B94" s="4"/>
      <c r="C94" s="2"/>
      <c r="D94" s="2"/>
      <c r="E94" s="2"/>
      <c r="F94" s="2"/>
      <c r="G94" s="2"/>
      <c r="H94" s="2"/>
    </row>
    <row r="95" spans="1:8">
      <c r="A95" s="2"/>
      <c r="B95" s="4"/>
      <c r="C95" s="2"/>
      <c r="D95" s="2"/>
      <c r="E95" s="2"/>
      <c r="F95" s="2"/>
      <c r="G95" s="2"/>
      <c r="H95" s="2"/>
    </row>
    <row r="96" spans="1:8">
      <c r="A96" s="2"/>
      <c r="B96" s="3"/>
      <c r="C96" s="2"/>
      <c r="D96" s="2"/>
      <c r="E96" s="2"/>
      <c r="F96" s="2"/>
      <c r="G96" s="2"/>
      <c r="H96" s="2"/>
    </row>
    <row r="97" spans="1:8">
      <c r="A97" s="2"/>
      <c r="B97" s="2"/>
      <c r="C97" s="2"/>
      <c r="D97" s="2"/>
      <c r="E97" s="2"/>
      <c r="F97" s="2"/>
      <c r="G97" s="2"/>
      <c r="H97" s="2"/>
    </row>
    <row r="98" spans="1:8">
      <c r="A98" s="2"/>
      <c r="B98" s="2"/>
      <c r="C98" s="2"/>
      <c r="D98" s="2"/>
      <c r="E98" s="2"/>
      <c r="F98" s="2"/>
      <c r="G98" s="2"/>
      <c r="H98" s="2"/>
    </row>
    <row r="99" spans="1:8">
      <c r="A99" s="2"/>
      <c r="B99" s="2"/>
      <c r="C99" s="2"/>
      <c r="D99" s="2"/>
      <c r="E99" s="2"/>
      <c r="F99" s="2"/>
      <c r="G99" s="2"/>
      <c r="H99" s="2"/>
    </row>
    <row r="134" spans="5:7">
      <c r="E134" s="22"/>
    </row>
    <row r="135" spans="5:7">
      <c r="E135" s="23"/>
    </row>
    <row r="136" spans="5:7">
      <c r="E136" s="23"/>
      <c r="G136" s="24"/>
    </row>
  </sheetData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28"/>
  <sheetViews>
    <sheetView zoomScaleNormal="100" workbookViewId="0">
      <selection activeCell="M67" sqref="M67"/>
    </sheetView>
  </sheetViews>
  <sheetFormatPr defaultRowHeight="14.4"/>
  <cols>
    <col min="1" max="1" width="20" customWidth="1"/>
    <col min="3" max="3" width="11.21875" customWidth="1"/>
    <col min="4" max="4" width="13.44140625" customWidth="1"/>
    <col min="5" max="5" width="8.88671875" customWidth="1"/>
    <col min="6" max="6" width="5.6640625" customWidth="1"/>
    <col min="7" max="7" width="7.21875" customWidth="1"/>
    <col min="8" max="8" width="9" customWidth="1"/>
    <col min="9" max="9" width="10.33203125" style="2" customWidth="1"/>
    <col min="10" max="37" width="8.88671875" style="2"/>
  </cols>
  <sheetData>
    <row r="1" spans="1:8">
      <c r="A1" s="1" t="s">
        <v>108</v>
      </c>
      <c r="B1" s="2"/>
      <c r="C1" s="2"/>
      <c r="D1" s="2"/>
      <c r="E1" s="2"/>
      <c r="F1" s="2"/>
      <c r="G1" s="2"/>
      <c r="H1" s="2"/>
    </row>
    <row r="2" spans="1:8" ht="14.4" customHeight="1">
      <c r="A2" s="2"/>
      <c r="B2" s="2"/>
      <c r="C2" s="2"/>
      <c r="D2" s="2"/>
      <c r="E2" s="2"/>
      <c r="F2" s="2"/>
      <c r="G2" s="2"/>
      <c r="H2" s="2"/>
    </row>
    <row r="3" spans="1:8" ht="13.8" customHeight="1">
      <c r="A3" s="1" t="s">
        <v>124</v>
      </c>
      <c r="B3" s="2"/>
      <c r="C3" s="2"/>
      <c r="D3" s="2"/>
      <c r="E3" s="2"/>
      <c r="F3" s="2"/>
      <c r="G3" s="2"/>
      <c r="H3" s="2"/>
    </row>
    <row r="4" spans="1:8">
      <c r="A4" s="2" t="s">
        <v>125</v>
      </c>
      <c r="B4" s="2"/>
      <c r="C4" s="2"/>
      <c r="D4" s="2" t="s">
        <v>7</v>
      </c>
      <c r="E4" s="17">
        <v>32</v>
      </c>
      <c r="F4" s="2" t="s">
        <v>25</v>
      </c>
      <c r="G4" s="2"/>
      <c r="H4" s="2"/>
    </row>
    <row r="5" spans="1:8">
      <c r="A5" s="2" t="s">
        <v>1</v>
      </c>
      <c r="B5" s="17">
        <v>0</v>
      </c>
      <c r="C5" s="2" t="s">
        <v>6</v>
      </c>
      <c r="D5" s="2" t="s">
        <v>58</v>
      </c>
      <c r="E5" s="17">
        <v>7</v>
      </c>
      <c r="F5" s="2" t="s">
        <v>30</v>
      </c>
      <c r="G5" s="2">
        <f>E5*3.6</f>
        <v>25.2</v>
      </c>
      <c r="H5" s="2" t="s">
        <v>31</v>
      </c>
    </row>
    <row r="6" spans="1:8">
      <c r="A6" s="2" t="s">
        <v>126</v>
      </c>
      <c r="B6" s="17">
        <v>80</v>
      </c>
      <c r="C6" s="2" t="s">
        <v>2</v>
      </c>
      <c r="D6" s="2" t="s">
        <v>4</v>
      </c>
      <c r="E6" s="17">
        <v>100</v>
      </c>
      <c r="F6" s="2" t="s">
        <v>3</v>
      </c>
      <c r="G6" s="2"/>
      <c r="H6" s="2"/>
    </row>
    <row r="7" spans="1:8">
      <c r="A7" s="2" t="s">
        <v>94</v>
      </c>
      <c r="B7" s="11">
        <f>0.0496965*B5^3+0.979515*B5^2+46.9035*B5+609.484</f>
        <v>609.48400000000004</v>
      </c>
      <c r="C7" s="2" t="s">
        <v>19</v>
      </c>
      <c r="D7" s="12" t="s">
        <v>102</v>
      </c>
      <c r="E7" s="15"/>
      <c r="F7" s="15"/>
      <c r="G7" s="2"/>
      <c r="H7" s="2"/>
    </row>
    <row r="8" spans="1:8">
      <c r="A8" s="2" t="s">
        <v>54</v>
      </c>
      <c r="B8" s="18">
        <f>0.622*B6/100*B7/(101325-B6/100*B7)</f>
        <v>3.0076063038380531E-3</v>
      </c>
      <c r="C8" s="2" t="s">
        <v>121</v>
      </c>
      <c r="D8" s="2" t="s">
        <v>23</v>
      </c>
      <c r="E8" s="8">
        <f>E6/1000/(2501+1.9*$B$18)</f>
        <v>3.9385584875935413E-5</v>
      </c>
      <c r="F8" s="2" t="s">
        <v>8</v>
      </c>
      <c r="G8" s="3">
        <f>E8*3600*1000</f>
        <v>141.7881055533675</v>
      </c>
      <c r="H8" s="2" t="s">
        <v>9</v>
      </c>
    </row>
    <row r="9" spans="1:8">
      <c r="A9" s="2" t="s">
        <v>55</v>
      </c>
      <c r="B9" s="7">
        <f>1.006*B5+B8*(2501+1.805*B5)</f>
        <v>7.5220233658989706</v>
      </c>
      <c r="C9" s="2" t="s">
        <v>113</v>
      </c>
      <c r="D9" s="2" t="s">
        <v>24</v>
      </c>
      <c r="E9" s="20">
        <f>E8*E4</f>
        <v>1.2603387160299332E-3</v>
      </c>
      <c r="F9" s="2" t="s">
        <v>8</v>
      </c>
      <c r="G9" s="2"/>
      <c r="H9" s="2"/>
    </row>
    <row r="10" spans="1:8" ht="13.2" customHeight="1">
      <c r="A10" s="2"/>
      <c r="B10" s="2"/>
      <c r="C10" s="2"/>
      <c r="D10" s="27" t="s">
        <v>90</v>
      </c>
      <c r="E10" s="8">
        <f>E9/B34</f>
        <v>2.5445255843700655E-4</v>
      </c>
      <c r="G10" s="15" t="s">
        <v>27</v>
      </c>
    </row>
    <row r="11" spans="1:8" s="2" customFormat="1">
      <c r="A11" s="2" t="s">
        <v>64</v>
      </c>
      <c r="B11" s="17">
        <v>-34880</v>
      </c>
      <c r="C11" s="2" t="s">
        <v>3</v>
      </c>
      <c r="D11" s="2" t="s">
        <v>88</v>
      </c>
      <c r="E11" s="28">
        <f>B21-E10</f>
        <v>7.0020470724308104E-3</v>
      </c>
      <c r="G11" s="15" t="s">
        <v>89</v>
      </c>
    </row>
    <row r="12" spans="1:8" s="2" customFormat="1">
      <c r="A12" s="2" t="s">
        <v>109</v>
      </c>
      <c r="B12" s="17">
        <v>1.1000000000000001</v>
      </c>
      <c r="E12" s="28"/>
      <c r="G12" s="15"/>
    </row>
    <row r="13" spans="1:8" s="2" customFormat="1">
      <c r="A13" s="2" t="s">
        <v>65</v>
      </c>
      <c r="B13" s="17">
        <f>(B11-B12*B11)/B12</f>
        <v>3170.9090909090905</v>
      </c>
      <c r="C13" s="2" t="s">
        <v>3</v>
      </c>
    </row>
    <row r="14" spans="1:8" s="2" customFormat="1"/>
    <row r="15" spans="1:8" s="2" customFormat="1">
      <c r="A15" s="1" t="s">
        <v>21</v>
      </c>
      <c r="B15" s="6"/>
    </row>
    <row r="16" spans="1:8" s="2" customFormat="1" ht="13.2" customHeight="1"/>
    <row r="17" spans="1:8" s="2" customFormat="1">
      <c r="A17" s="2" t="s">
        <v>20</v>
      </c>
      <c r="E17" s="3"/>
    </row>
    <row r="18" spans="1:8" s="2" customFormat="1" ht="14.4" customHeight="1">
      <c r="A18" s="2" t="s">
        <v>5</v>
      </c>
      <c r="B18" s="17">
        <v>20</v>
      </c>
      <c r="C18" s="2" t="s">
        <v>6</v>
      </c>
    </row>
    <row r="19" spans="1:8" s="2" customFormat="1" ht="14.4" customHeight="1">
      <c r="A19" s="2" t="s">
        <v>127</v>
      </c>
      <c r="B19" s="17">
        <v>50</v>
      </c>
      <c r="C19" s="2" t="s">
        <v>2</v>
      </c>
      <c r="D19" s="12" t="s">
        <v>78</v>
      </c>
    </row>
    <row r="20" spans="1:8" s="2" customFormat="1" ht="14.4" customHeight="1">
      <c r="A20" s="2" t="s">
        <v>11</v>
      </c>
      <c r="B20" s="11">
        <f>0.0496965*B18^3+0.979515*B18^2+46.9035*B18+609.484</f>
        <v>2336.9319999999998</v>
      </c>
      <c r="C20" s="2" t="s">
        <v>91</v>
      </c>
      <c r="D20" s="12" t="s">
        <v>117</v>
      </c>
      <c r="G20"/>
      <c r="H20"/>
    </row>
    <row r="21" spans="1:8" s="2" customFormat="1" ht="14.4" customHeight="1">
      <c r="A21" s="2" t="s">
        <v>18</v>
      </c>
      <c r="B21" s="9">
        <f>0.622*B19/100*B20/(101325-B19/100*B20)</f>
        <v>7.2564996308678168E-3</v>
      </c>
      <c r="C21" s="2" t="s">
        <v>93</v>
      </c>
      <c r="D21" s="12" t="s">
        <v>92</v>
      </c>
    </row>
    <row r="22" spans="1:8" s="2" customFormat="1" ht="14.4" customHeight="1">
      <c r="A22" s="2" t="s">
        <v>13</v>
      </c>
      <c r="B22" s="7">
        <f>1.006*B18+B21*(2501+1.805*B18)</f>
        <v>38.530465213474741</v>
      </c>
      <c r="C22" s="2" t="s">
        <v>113</v>
      </c>
      <c r="D22" s="12" t="s">
        <v>103</v>
      </c>
    </row>
    <row r="23" spans="1:8" s="2" customFormat="1" ht="14.4" customHeight="1">
      <c r="E23" s="6"/>
    </row>
    <row r="24" spans="1:8" s="2" customFormat="1">
      <c r="A24" s="1" t="s">
        <v>97</v>
      </c>
    </row>
    <row r="25" spans="1:8" s="2" customFormat="1">
      <c r="A25" s="2" t="s">
        <v>95</v>
      </c>
      <c r="B25" s="2">
        <f>B11</f>
        <v>-34880</v>
      </c>
      <c r="C25" s="2" t="s">
        <v>3</v>
      </c>
    </row>
    <row r="26" spans="1:8" s="2" customFormat="1">
      <c r="A26" s="2" t="s">
        <v>96</v>
      </c>
      <c r="B26" s="2">
        <f>B13</f>
        <v>3170.9090909090905</v>
      </c>
      <c r="C26" s="2" t="s">
        <v>3</v>
      </c>
    </row>
    <row r="27" spans="1:8" s="2" customFormat="1">
      <c r="A27" s="29" t="s">
        <v>14</v>
      </c>
      <c r="B27" s="8">
        <f>B25+B26</f>
        <v>-31709.090909090908</v>
      </c>
      <c r="C27" s="2" t="s">
        <v>3</v>
      </c>
      <c r="D27" s="5"/>
      <c r="E27" s="6"/>
    </row>
    <row r="28" spans="1:8" s="2" customFormat="1">
      <c r="A28" s="29" t="s">
        <v>15</v>
      </c>
      <c r="B28" s="7">
        <f>B25/(B25+B26)</f>
        <v>1.1000000000000001</v>
      </c>
      <c r="D28" s="5"/>
      <c r="E28" s="6"/>
    </row>
    <row r="29" spans="1:8" s="2" customFormat="1">
      <c r="B29" s="6"/>
    </row>
    <row r="30" spans="1:8" s="2" customFormat="1">
      <c r="A30" s="2" t="s">
        <v>98</v>
      </c>
      <c r="B30" s="17">
        <v>7</v>
      </c>
      <c r="C30" s="2" t="s">
        <v>6</v>
      </c>
    </row>
    <row r="31" spans="1:8" s="2" customFormat="1">
      <c r="A31" s="2" t="s">
        <v>69</v>
      </c>
      <c r="B31" s="13">
        <f>B18+B30</f>
        <v>27</v>
      </c>
      <c r="C31" s="2" t="s">
        <v>6</v>
      </c>
    </row>
    <row r="32" spans="1:8" s="2" customFormat="1"/>
    <row r="33" spans="1:8" s="2" customFormat="1">
      <c r="A33" s="2" t="s">
        <v>100</v>
      </c>
      <c r="B33" s="6"/>
    </row>
    <row r="34" spans="1:8" s="2" customFormat="1">
      <c r="A34" s="2" t="s">
        <v>85</v>
      </c>
      <c r="B34" s="6">
        <f>ABS(B25/(1006*(B18-B31)))</f>
        <v>4.9531383129792674</v>
      </c>
      <c r="C34" s="2" t="s">
        <v>10</v>
      </c>
      <c r="D34" s="12" t="s">
        <v>99</v>
      </c>
    </row>
    <row r="35" spans="1:8" s="2" customFormat="1">
      <c r="A35" s="2" t="s">
        <v>67</v>
      </c>
      <c r="B35" s="3">
        <f>B27/B34/1000</f>
        <v>-6.4018181818181814</v>
      </c>
      <c r="C35" s="2" t="s">
        <v>113</v>
      </c>
      <c r="D35" s="12" t="s">
        <v>68</v>
      </c>
    </row>
    <row r="36" spans="1:8" s="2" customFormat="1">
      <c r="A36" s="2" t="s">
        <v>66</v>
      </c>
      <c r="B36" s="6">
        <f>B22-B35</f>
        <v>44.93228339529292</v>
      </c>
      <c r="C36" s="2" t="s">
        <v>113</v>
      </c>
      <c r="D36" s="2" t="s">
        <v>107</v>
      </c>
    </row>
    <row r="37" spans="1:8" s="2" customFormat="1">
      <c r="A37" s="2" t="s">
        <v>88</v>
      </c>
      <c r="B37" s="9">
        <f>(B36-1.006*B31)/(2500+1.9*B31)</f>
        <v>6.9651877063822048E-3</v>
      </c>
      <c r="C37" s="2" t="s">
        <v>16</v>
      </c>
      <c r="D37" s="12" t="s">
        <v>92</v>
      </c>
    </row>
    <row r="38" spans="1:8" s="2" customFormat="1">
      <c r="A38" s="2" t="s">
        <v>66</v>
      </c>
      <c r="B38" s="7">
        <f>(1.006+1.9*B37)*B31+2501*B37</f>
        <v>44.939248582999298</v>
      </c>
      <c r="C38" s="2" t="s">
        <v>17</v>
      </c>
      <c r="D38" s="12" t="s">
        <v>70</v>
      </c>
    </row>
    <row r="39" spans="1:8" s="2" customFormat="1">
      <c r="A39" s="2" t="s">
        <v>80</v>
      </c>
      <c r="B39" s="11">
        <f>0.0496965*$B$31^3+0.979515*$B$31^2+46.9035*$B$31+609.484</f>
        <v>3568.1211445000004</v>
      </c>
      <c r="C39" s="2" t="s">
        <v>19</v>
      </c>
      <c r="D39" s="12" t="s">
        <v>117</v>
      </c>
    </row>
    <row r="40" spans="1:8" s="2" customFormat="1">
      <c r="A40" s="2" t="s">
        <v>105</v>
      </c>
      <c r="B40" s="11">
        <f>101325*B37/(0.622+B37)</f>
        <v>1122.0774347190718</v>
      </c>
      <c r="C40" s="2" t="s">
        <v>104</v>
      </c>
      <c r="D40" s="12" t="s">
        <v>76</v>
      </c>
    </row>
    <row r="41" spans="1:8" s="2" customFormat="1">
      <c r="A41" s="2" t="s">
        <v>128</v>
      </c>
      <c r="B41" s="14">
        <f>B40/B39*100</f>
        <v>31.447290864792322</v>
      </c>
      <c r="C41" s="2" t="s">
        <v>2</v>
      </c>
      <c r="D41" s="12" t="s">
        <v>120</v>
      </c>
    </row>
    <row r="42" spans="1:8" s="2" customFormat="1"/>
    <row r="43" spans="1:8" s="2" customFormat="1">
      <c r="A43" s="1" t="s">
        <v>28</v>
      </c>
    </row>
    <row r="44" spans="1:8" s="2" customFormat="1">
      <c r="A44" s="2" t="s">
        <v>29</v>
      </c>
      <c r="B44" s="2">
        <v>7</v>
      </c>
      <c r="C44" s="2" t="s">
        <v>30</v>
      </c>
      <c r="D44" s="2">
        <f>B44*3.6</f>
        <v>25.2</v>
      </c>
      <c r="E44" s="2" t="s">
        <v>31</v>
      </c>
      <c r="F44" s="2">
        <f>1.2*D44</f>
        <v>30.24</v>
      </c>
      <c r="G44" s="2" t="s">
        <v>32</v>
      </c>
      <c r="H44" s="21">
        <f>F44/3600</f>
        <v>8.3999999999999995E-3</v>
      </c>
    </row>
    <row r="45" spans="1:8" s="2" customFormat="1">
      <c r="A45" s="2" t="s">
        <v>33</v>
      </c>
      <c r="B45" s="2">
        <f>E4</f>
        <v>32</v>
      </c>
    </row>
    <row r="46" spans="1:8" s="2" customFormat="1">
      <c r="A46" s="2" t="s">
        <v>71</v>
      </c>
      <c r="B46" s="8">
        <f>B45*H44</f>
        <v>0.26879999999999998</v>
      </c>
      <c r="C46" s="2" t="s">
        <v>72</v>
      </c>
    </row>
    <row r="47" spans="1:8" s="2" customFormat="1"/>
    <row r="48" spans="1:8" s="2" customFormat="1">
      <c r="A48" s="2" t="s">
        <v>129</v>
      </c>
    </row>
    <row r="49" spans="1:4" s="2" customFormat="1">
      <c r="A49" s="2" t="s">
        <v>35</v>
      </c>
      <c r="B49" s="10">
        <f>B34</f>
        <v>4.9531383129792674</v>
      </c>
      <c r="C49" s="2" t="s">
        <v>72</v>
      </c>
    </row>
    <row r="50" spans="1:4" s="2" customFormat="1">
      <c r="A50" s="2" t="s">
        <v>110</v>
      </c>
      <c r="B50" s="25">
        <f>B49*0</f>
        <v>0</v>
      </c>
      <c r="C50" s="2" t="s">
        <v>72</v>
      </c>
    </row>
    <row r="51" spans="1:4" s="2" customFormat="1">
      <c r="A51" s="2" t="s">
        <v>130</v>
      </c>
      <c r="B51" s="25">
        <f>B49-B50</f>
        <v>4.9531383129792674</v>
      </c>
      <c r="C51" s="2" t="s">
        <v>82</v>
      </c>
    </row>
    <row r="52" spans="1:4" s="2" customFormat="1"/>
    <row r="53" spans="1:4" s="2" customFormat="1">
      <c r="A53" s="1" t="s">
        <v>60</v>
      </c>
    </row>
    <row r="54" spans="1:4" s="2" customFormat="1">
      <c r="A54" s="2" t="s">
        <v>48</v>
      </c>
      <c r="B54" s="14">
        <f>(B5*$B$51+B18*$B$50)/$B$49</f>
        <v>0</v>
      </c>
      <c r="C54" s="2" t="s">
        <v>6</v>
      </c>
    </row>
    <row r="55" spans="1:4" s="2" customFormat="1">
      <c r="A55" s="2" t="s">
        <v>49</v>
      </c>
      <c r="B55" s="14">
        <f>(B9*$B$51+B22*$B$50)/$B$49</f>
        <v>7.5220233658989706</v>
      </c>
      <c r="C55" s="2" t="s">
        <v>113</v>
      </c>
    </row>
    <row r="56" spans="1:4" s="2" customFormat="1">
      <c r="A56" s="2" t="s">
        <v>50</v>
      </c>
      <c r="B56" s="18">
        <f>(B8*$B$51+B21*$B$50)/$B$49</f>
        <v>3.0076063038380531E-3</v>
      </c>
      <c r="C56" s="2" t="s">
        <v>114</v>
      </c>
    </row>
    <row r="57" spans="1:4" s="2" customFormat="1">
      <c r="A57" s="2" t="s">
        <v>80</v>
      </c>
      <c r="B57" s="11">
        <f>0.0496965*B54^3+0.979515*B54^2+46.9035*B54+609.484</f>
        <v>609.48400000000004</v>
      </c>
      <c r="C57" s="2" t="s">
        <v>19</v>
      </c>
    </row>
    <row r="58" spans="1:4" s="2" customFormat="1">
      <c r="A58" s="2" t="s">
        <v>81</v>
      </c>
      <c r="B58" s="11">
        <f>101325*B56/(0.622+B56)</f>
        <v>487.5872</v>
      </c>
      <c r="C58" s="2" t="s">
        <v>19</v>
      </c>
    </row>
    <row r="59" spans="1:4" s="2" customFormat="1">
      <c r="A59" s="2" t="s">
        <v>26</v>
      </c>
      <c r="B59" s="14">
        <f>B58/B57*100</f>
        <v>80</v>
      </c>
      <c r="C59" s="2" t="s">
        <v>2</v>
      </c>
    </row>
    <row r="60" spans="1:4" s="2" customFormat="1"/>
    <row r="61" spans="1:4" s="2" customFormat="1">
      <c r="A61" s="1" t="s">
        <v>111</v>
      </c>
    </row>
    <row r="62" spans="1:4" s="2" customFormat="1">
      <c r="A62" s="2" t="s">
        <v>112</v>
      </c>
      <c r="B62" s="6">
        <f>B36</f>
        <v>44.93228339529292</v>
      </c>
      <c r="C62" s="2" t="s">
        <v>113</v>
      </c>
    </row>
    <row r="63" spans="1:4" s="2" customFormat="1">
      <c r="A63" s="2" t="s">
        <v>115</v>
      </c>
      <c r="B63" s="21">
        <f>B8</f>
        <v>3.0076063038380531E-3</v>
      </c>
      <c r="C63" s="2" t="s">
        <v>114</v>
      </c>
      <c r="D63" s="12" t="s">
        <v>76</v>
      </c>
    </row>
    <row r="64" spans="1:4" s="2" customFormat="1">
      <c r="A64" s="2" t="s">
        <v>116</v>
      </c>
      <c r="B64" s="21">
        <f>B62-2501*B63/(1.006+1.9*B63)</f>
        <v>37.49735612782338</v>
      </c>
      <c r="C64" s="2" t="s">
        <v>6</v>
      </c>
      <c r="D64" s="12" t="s">
        <v>70</v>
      </c>
    </row>
    <row r="65" spans="1:7" s="2" customFormat="1">
      <c r="A65" s="2" t="s">
        <v>79</v>
      </c>
      <c r="B65" s="11">
        <f>0.0496965*B64^3+0.979515*B64^2+46.9035*B64+609.484</f>
        <v>6365.6495899729971</v>
      </c>
      <c r="C65" s="2" t="s">
        <v>19</v>
      </c>
      <c r="D65" s="12" t="s">
        <v>117</v>
      </c>
    </row>
    <row r="66" spans="1:7" s="2" customFormat="1">
      <c r="A66" s="2" t="s">
        <v>118</v>
      </c>
      <c r="B66" s="11">
        <f>101325*B63/(0.622+B63)</f>
        <v>487.5872</v>
      </c>
      <c r="D66" s="12" t="s">
        <v>76</v>
      </c>
    </row>
    <row r="67" spans="1:7" s="2" customFormat="1">
      <c r="A67" s="2" t="s">
        <v>119</v>
      </c>
      <c r="B67" s="14">
        <f>B66/B65*100</f>
        <v>7.6596613292700635</v>
      </c>
      <c r="C67" s="2" t="s">
        <v>2</v>
      </c>
      <c r="D67" s="12" t="s">
        <v>120</v>
      </c>
    </row>
    <row r="68" spans="1:7" s="2" customFormat="1"/>
    <row r="69" spans="1:7" s="2" customFormat="1"/>
    <row r="70" spans="1:7" s="2" customFormat="1">
      <c r="A70" s="1" t="s">
        <v>131</v>
      </c>
    </row>
    <row r="71" spans="1:7" s="2" customFormat="1">
      <c r="A71" s="2" t="s">
        <v>122</v>
      </c>
      <c r="B71" s="14">
        <f>B49*(B62-B9)</f>
        <v>185.29819225010809</v>
      </c>
      <c r="C71" s="2" t="s">
        <v>46</v>
      </c>
    </row>
    <row r="72" spans="1:7" s="2" customFormat="1">
      <c r="B72" s="14"/>
      <c r="G72" s="6"/>
    </row>
    <row r="73" spans="1:7" s="2" customFormat="1">
      <c r="A73" s="1" t="s">
        <v>123</v>
      </c>
      <c r="G73" s="6"/>
    </row>
    <row r="74" spans="1:7" s="2" customFormat="1">
      <c r="A74" s="2" t="s">
        <v>47</v>
      </c>
      <c r="B74" s="8">
        <f>B49*(B37-B63)</f>
        <v>1.9602448071675663E-2</v>
      </c>
      <c r="C74" s="2" t="s">
        <v>10</v>
      </c>
      <c r="D74" s="7">
        <f>B74*3600</f>
        <v>70.56881305803239</v>
      </c>
      <c r="E74" s="2" t="s">
        <v>32</v>
      </c>
    </row>
    <row r="75" spans="1:7" s="2" customFormat="1">
      <c r="D75" s="6"/>
    </row>
    <row r="76" spans="1:7" s="2" customFormat="1"/>
    <row r="77" spans="1:7" s="2" customFormat="1"/>
    <row r="78" spans="1:7" s="2" customFormat="1">
      <c r="A78" s="1"/>
    </row>
    <row r="79" spans="1:7" s="2" customFormat="1">
      <c r="B79" s="19"/>
    </row>
    <row r="80" spans="1:7" s="2" customFormat="1"/>
    <row r="81" spans="2:7" s="2" customFormat="1">
      <c r="B81" s="6"/>
    </row>
    <row r="82" spans="2:7" s="2" customFormat="1">
      <c r="B82" s="6"/>
    </row>
    <row r="83" spans="2:7" s="2" customFormat="1">
      <c r="B83" s="6"/>
      <c r="G83"/>
    </row>
    <row r="84" spans="2:7" s="2" customFormat="1"/>
    <row r="85" spans="2:7" s="2" customFormat="1"/>
    <row r="86" spans="2:7" s="2" customFormat="1">
      <c r="B86" s="4"/>
    </row>
    <row r="87" spans="2:7" s="2" customFormat="1">
      <c r="B87" s="4"/>
    </row>
    <row r="88" spans="2:7" s="2" customFormat="1">
      <c r="B88" s="3"/>
    </row>
    <row r="89" spans="2:7" s="2" customFormat="1"/>
    <row r="90" spans="2:7" s="2" customFormat="1"/>
    <row r="91" spans="2:7" s="2" customFormat="1"/>
    <row r="126" spans="5:7">
      <c r="E126" s="22"/>
    </row>
    <row r="127" spans="5:7">
      <c r="E127" s="23"/>
    </row>
    <row r="128" spans="5:7">
      <c r="E128" s="23"/>
      <c r="G128" s="24"/>
    </row>
  </sheetData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AE15" sqref="AE15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Estivo</vt:lpstr>
      <vt:lpstr>Inverno</vt:lpstr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x300</cp:lastModifiedBy>
  <cp:lastPrinted>2022-11-12T07:15:58Z</cp:lastPrinted>
  <dcterms:created xsi:type="dcterms:W3CDTF">2020-11-17T10:40:44Z</dcterms:created>
  <dcterms:modified xsi:type="dcterms:W3CDTF">2022-12-01T19:23:13Z</dcterms:modified>
</cp:coreProperties>
</file>